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;-) EDM\(02) TWN\EDM-Gas\"/>
    </mc:Choice>
  </mc:AlternateContent>
  <bookViews>
    <workbookView xWindow="0" yWindow="0" windowWidth="28800" windowHeight="1200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7" l="1"/>
  <c r="P22" i="7"/>
  <c r="O23" i="7"/>
  <c r="O22" i="7"/>
  <c r="N23" i="7"/>
  <c r="N22" i="7"/>
  <c r="M23" i="7"/>
  <c r="M22" i="7"/>
  <c r="L23" i="7"/>
  <c r="L22" i="7"/>
  <c r="K23" i="7"/>
  <c r="K22" i="7"/>
  <c r="J23" i="7"/>
  <c r="J22" i="7"/>
  <c r="I23" i="7"/>
  <c r="I22" i="7"/>
  <c r="H23" i="7"/>
  <c r="H22" i="7"/>
  <c r="F23" i="7"/>
  <c r="F22" i="7"/>
  <c r="Q22" i="7" l="1"/>
  <c r="E4" i="17"/>
  <c r="E7" i="17" l="1"/>
  <c r="E6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12" i="7"/>
  <c r="T12" i="7"/>
  <c r="U12" i="7"/>
  <c r="V12" i="7"/>
  <c r="W12" i="7"/>
  <c r="R12" i="7"/>
  <c r="X12" i="7" l="1"/>
  <c r="X21" i="7"/>
  <c r="X13" i="7"/>
  <c r="X11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O12" i="7"/>
  <c r="P11" i="7"/>
  <c r="N13" i="7"/>
  <c r="I14" i="7"/>
  <c r="H15" i="7"/>
  <c r="P15" i="7"/>
  <c r="O16" i="7"/>
  <c r="N17" i="7"/>
  <c r="M18" i="7"/>
  <c r="L19" i="7"/>
  <c r="K20" i="7"/>
  <c r="J21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K12" i="7"/>
  <c r="K11" i="7"/>
  <c r="J13" i="7"/>
  <c r="M14" i="7"/>
  <c r="L15" i="7"/>
  <c r="K16" i="7"/>
  <c r="J17" i="7"/>
  <c r="I18" i="7"/>
  <c r="H19" i="7"/>
  <c r="P19" i="7"/>
  <c r="O20" i="7"/>
  <c r="N21" i="7"/>
  <c r="L12" i="7"/>
  <c r="H12" i="7"/>
  <c r="I11" i="7"/>
  <c r="F21" i="7"/>
  <c r="F19" i="7"/>
  <c r="F17" i="7"/>
  <c r="F15" i="7"/>
  <c r="F12" i="7"/>
  <c r="F20" i="7"/>
  <c r="F18" i="7"/>
  <c r="F16" i="7"/>
  <c r="F14" i="7"/>
  <c r="F13" i="7"/>
  <c r="F11" i="7"/>
  <c r="M8" i="4"/>
  <c r="M7" i="4"/>
  <c r="C5" i="1"/>
  <c r="D6" i="15"/>
  <c r="D6" i="7"/>
  <c r="C26" i="7" s="1"/>
  <c r="Q18" i="7" l="1"/>
  <c r="Q13" i="7"/>
  <c r="Q15" i="7"/>
  <c r="Q11" i="7"/>
  <c r="Q20" i="7"/>
  <c r="Q12" i="7"/>
  <c r="Q16" i="7"/>
  <c r="Q21" i="7"/>
  <c r="Q19" i="7"/>
  <c r="Q14" i="7"/>
  <c r="Q17" i="7"/>
  <c r="Q23" i="7"/>
  <c r="C41" i="7"/>
  <c r="C29" i="7"/>
  <c r="C20" i="7"/>
  <c r="C14" i="7"/>
  <c r="C12" i="7"/>
  <c r="C19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<sst xmlns="http://schemas.openxmlformats.org/spreadsheetml/2006/main" count="1388" uniqueCount="676">
  <si>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</si>
  <si>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</si>
  <si>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</si>
  <si>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</si>
  <si>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</si>
  <si>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</si>
  <si>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</si>
  <si>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</si>
  <si>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</si>
  <si>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</si>
  <si>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</si>
  <si>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</si>
  <si>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</si>
  <si>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</si>
  <si>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</si>
  <si>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</si>
  <si>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</si>
  <si>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</si>
  <si>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</si>
  <si>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</si>
  <si>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</si>
  <si>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</si>
  <si>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</si>
  <si>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</si>
  <si>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</si>
  <si>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</si>
  <si>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</si>
  <si>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</si>
  <si>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</si>
  <si>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</si>
  <si>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</si>
  <si>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</si>
  <si>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</si>
  <si>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</si>
  <si>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</si>
  <si>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</si>
  <si>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</si>
  <si>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</si>
  <si>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</si>
  <si>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</si>
  <si>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</si>
  <si>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</si>
  <si>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</si>
  <si>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</si>
  <si>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</si>
  <si>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</si>
  <si>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</si>
  <si>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</si>
  <si>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</si>
  <si>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</si>
  <si>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</si>
  <si>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</si>
  <si>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</si>
  <si>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</si>
  <si>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</si>
  <si>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</si>
  <si>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</si>
  <si>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</si>
  <si>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</si>
  <si>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</si>
  <si>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</si>
  <si>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</si>
  <si>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</si>
  <si>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</si>
  <si>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</si>
  <si>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</si>
  <si>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</si>
  <si>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</si>
  <si>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</si>
  <si>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</si>
  <si>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</si>
  <si>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</si>
  <si>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</si>
  <si>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</si>
  <si>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</si>
  <si>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</si>
  <si>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</si>
  <si>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</si>
  <si>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</si>
  <si>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</si>
  <si>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</si>
  <si>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</si>
  <si>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</si>
  <si>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</si>
  <si>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</si>
  <si>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</si>
  <si>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</si>
  <si>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</si>
  <si>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</si>
  <si>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</si>
  <si>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</si>
  <si>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</si>
  <si>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</si>
  <si>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</si>
  <si>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</si>
  <si>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</si>
  <si>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</si>
  <si>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</si>
  <si>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</si>
  <si>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</si>
  <si>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</si>
  <si>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</si>
  <si>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</si>
  <si>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</si>
  <si>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</si>
  <si>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</si>
  <si>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</si>
  <si>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</si>
  <si>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</si>
  <si>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</si>
  <si>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</si>
  <si>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</si>
  <si>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</si>
  <si>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</si>
  <si>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</si>
  <si>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</si>
  <si>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</si>
  <si>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</si>
  <si>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</si>
  <si>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</si>
  <si>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</si>
  <si>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</si>
  <si>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</si>
  <si>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</si>
  <si>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</si>
  <si>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</si>
  <si>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</si>
  <si>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</si>
  <si>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</si>
  <si>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</si>
  <si>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</si>
  <si>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</si>
  <si>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</si>
  <si>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</si>
  <si>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</si>
  <si>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</si>
  <si>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</si>
  <si>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</si>
  <si>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</si>
  <si>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</si>
  <si>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</si>
  <si>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</si>
  <si>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</si>
  <si>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</si>
  <si>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</si>
  <si>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</si>
  <si>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</si>
  <si>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</si>
  <si>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</si>
  <si>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</si>
  <si>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</si>
  <si>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</si>
  <si>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</si>
  <si>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</si>
  <si>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</si>
  <si>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</si>
  <si>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</si>
  <si>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</si>
  <si>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</si>
  <si>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</si>
  <si>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</si>
  <si>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</si>
  <si>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</si>
  <si>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</si>
  <si>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</si>
  <si>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</si>
  <si>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</si>
  <si>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</si>
  <si>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</si>
  <si>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</si>
  <si>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</si>
  <si>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</si>
  <si>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</si>
  <si>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</si>
  <si>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</si>
  <si>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</si>
  <si>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</si>
  <si>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</si>
  <si>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</si>
  <si>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</si>
  <si>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</si>
  <si>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</si>
  <si>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</si>
  <si>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</si>
  <si>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</si>
  <si>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</si>
  <si>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</si>
  <si>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</si>
  <si>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</si>
  <si>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</si>
  <si>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</si>
  <si>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</si>
  <si>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</si>
  <si>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</si>
  <si>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</si>
  <si>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</si>
  <si>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</si>
  <si>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</si>
  <si>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</si>
  <si>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</si>
  <si>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</si>
  <si>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</si>
  <si>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</si>
  <si>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</si>
  <si>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</si>
  <si>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</si>
  <si>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</si>
  <si>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</si>
  <si>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</si>
  <si>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</si>
  <si>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</si>
  <si>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</si>
  <si>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</si>
  <si>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</si>
  <si>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</si>
  <si>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</si>
  <si>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</si>
  <si>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</si>
  <si>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</si>
  <si>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</si>
  <si>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</si>
  <si>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</si>
  <si>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</si>
  <si>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</si>
  <si>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</si>
  <si>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</si>
  <si>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</si>
  <si>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</si>
  <si>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</si>
  <si>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</si>
  <si>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</si>
  <si>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</si>
  <si>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</si>
  <si>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</si>
  <si>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</si>
  <si>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</si>
  <si>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</si>
  <si>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</si>
  <si>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</si>
  <si>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</si>
  <si>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</si>
  <si>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</si>
  <si>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</si>
  <si>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</si>
  <si>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</si>
  <si>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</si>
  <si>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</si>
  <si>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</si>
  <si>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</si>
  <si>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</si>
  <si>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</si>
  <si>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</si>
  <si>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</si>
  <si>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</si>
  <si>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</si>
  <si>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</si>
  <si>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</si>
  <si>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</si>
  <si>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</si>
  <si>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</si>
  <si>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</si>
  <si>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</si>
  <si>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</si>
  <si>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</si>
  <si>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</si>
  <si>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</si>
  <si>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</si>
  <si>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</si>
  <si>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</si>
  <si>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</si>
  <si>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</si>
  <si>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</si>
  <si>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</si>
  <si>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</si>
  <si>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</si>
  <si>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</si>
  <si>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</si>
  <si>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</si>
  <si>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</si>
  <si>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</si>
  <si>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</si>
  <si>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</si>
  <si>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</si>
  <si>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</si>
  <si>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</si>
  <si>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</si>
  <si>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</si>
  <si>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</si>
  <si>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</si>
  <si>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</si>
  <si>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</si>
  <si>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</si>
  <si>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</si>
  <si>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</si>
  <si>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</si>
  <si>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</si>
  <si>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</si>
  <si>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</si>
  <si>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</si>
  <si>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</si>
  <si>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</si>
  <si>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</si>
  <si>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</si>
  <si>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</si>
  <si>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</si>
  <si>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</si>
  <si>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</si>
  <si>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</si>
  <si>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</si>
  <si>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</si>
  <si>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</si>
  <si>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</si>
  <si>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</si>
  <si>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</si>
  <si>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</si>
  <si>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</si>
  <si>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</si>
  <si>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</si>
  <si>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</si>
  <si>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</si>
  <si>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</si>
  <si>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</si>
  <si>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</si>
  <si>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</si>
  <si>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</si>
  <si>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</si>
  <si>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</si>
  <si>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</si>
  <si>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</si>
  <si>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</si>
  <si>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</si>
  <si>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</si>
  <si>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</si>
  <si>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</si>
  <si>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</si>
  <si>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</si>
  <si>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</si>
  <si>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</si>
  <si>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</si>
  <si>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</si>
  <si>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</si>
  <si>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</si>
  <si>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</si>
  <si>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</si>
  <si>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</si>
  <si>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</si>
  <si>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</si>
  <si>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</si>
  <si>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</si>
  <si>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</si>
  <si>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</si>
  <si>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</si>
  <si>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</si>
  <si>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</si>
  <si>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</si>
  <si>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</si>
  <si>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</si>
  <si>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</si>
  <si>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</si>
  <si>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</si>
  <si>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</si>
  <si>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</si>
  <si>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</si>
  <si>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</si>
  <si>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</si>
  <si>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</si>
  <si>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</si>
  <si>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</si>
  <si>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</si>
  <si>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</si>
  <si>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</si>
  <si>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</si>
  <si>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</si>
  <si>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</si>
  <si>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</si>
  <si>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</si>
  <si>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</si>
  <si>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</si>
  <si>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</si>
  <si>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</si>
  <si>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</si>
  <si>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</si>
  <si>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</si>
  <si>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</si>
  <si>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</si>
  <si>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</si>
  <si>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</si>
  <si>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</si>
  <si>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</si>
  <si>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</si>
  <si>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</si>
  <si>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</si>
  <si>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</si>
  <si>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</si>
  <si>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</si>
  <si>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</si>
  <si>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</si>
  <si>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</si>
  <si>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</si>
  <si>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</si>
  <si>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</si>
  <si>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</si>
  <si>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</si>
  <si>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</si>
  <si>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</si>
  <si>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</si>
  <si>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</si>
  <si>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</si>
  <si>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</si>
  <si>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</si>
  <si>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</si>
  <si>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</si>
  <si>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</si>
  <si>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</si>
  <si>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</si>
  <si>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</si>
  <si>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</si>
  <si>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</si>
  <si>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</si>
  <si>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</si>
  <si>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</si>
  <si>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</si>
  <si>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</si>
  <si>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</si>
  <si>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</si>
  <si>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</si>
  <si>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</si>
  <si>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</si>
  <si>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</si>
  <si>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</si>
  <si>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</si>
  <si>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</si>
  <si>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</si>
  <si>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</si>
  <si>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</si>
  <si>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</si>
  <si>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</si>
  <si>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</si>
  <si>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</si>
  <si>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</si>
  <si>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</si>
  <si>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</si>
  <si>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</si>
  <si>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</si>
  <si>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</si>
  <si>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</si>
  <si>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</si>
  <si>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</si>
  <si>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</si>
  <si>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</si>
  <si>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</si>
  <si>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</si>
  <si>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</si>
  <si>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</si>
  <si>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</si>
  <si>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</si>
  <si>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</si>
  <si>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</si>
  <si>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</si>
  <si>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</si>
  <si>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</si>
  <si>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</si>
  <si>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</si>
  <si>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</si>
  <si>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</si>
  <si>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</si>
  <si>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</si>
  <si>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</si>
  <si>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</si>
  <si>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</si>
  <si>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</si>
  <si>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</si>
  <si>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</si>
  <si>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</si>
  <si>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</si>
  <si>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</si>
  <si>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</si>
  <si>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</si>
  <si>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</si>
  <si>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</si>
  <si>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</si>
  <si>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</si>
  <si>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</si>
  <si>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</si>
  <si>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</si>
  <si>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</si>
  <si>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</si>
  <si>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</si>
  <si>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</si>
  <si>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</si>
  <si>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</si>
  <si>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</si>
  <si>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</si>
  <si>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</si>
  <si>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</si>
  <si>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</si>
  <si>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</si>
  <si>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</si>
  <si>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</si>
  <si>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</si>
  <si>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</si>
  <si>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</si>
  <si>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</si>
  <si>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</si>
  <si>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</si>
  <si>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</si>
  <si>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</si>
  <si>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</si>
  <si>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</si>
  <si>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</si>
  <si>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</si>
  <si>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</si>
  <si>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</si>
  <si>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</si>
  <si>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</si>
  <si>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</si>
  <si>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</si>
  <si>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</si>
  <si>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</si>
  <si>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</si>
  <si>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</si>
  <si>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</si>
  <si>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</si>
  <si>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</si>
  <si>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</si>
  <si>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</si>
  <si>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</si>
  <si>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</si>
  <si>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</si>
  <si>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</si>
  <si>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</si>
  <si>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</si>
  <si>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</si>
  <si>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</si>
  <si>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</si>
  <si>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</si>
  <si>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</si>
  <si>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</si>
  <si>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</si>
  <si>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</si>
  <si>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</si>
  <si>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</si>
  <si>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</si>
  <si>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</si>
  <si>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</si>
  <si>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</si>
  <si>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</si>
  <si>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</si>
  <si>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</si>
  <si>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</si>
  <si>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</si>
  <si>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</si>
  <si>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</si>
  <si>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</si>
  <si>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</si>
  <si>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</si>
  <si>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</si>
  <si>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</si>
  <si>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</si>
  <si>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</si>
  <si>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</si>
  <si>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</si>
  <si>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</si>
  <si>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</si>
  <si>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</si>
  <si>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</si>
  <si>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</si>
  <si>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</si>
  <si>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</si>
  <si>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</si>
  <si>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</si>
  <si>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</si>
  <si>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</si>
  <si>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</si>
  <si>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</si>
  <si>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</si>
  <si>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</si>
  <si>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</si>
  <si>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</si>
  <si>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</si>
  <si>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</si>
  <si>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</si>
  <si>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</si>
  <si>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</si>
  <si>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</si>
  <si>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</si>
  <si>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</si>
  <si>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</si>
  <si>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</si>
  <si>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</si>
  <si>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</si>
  <si>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</si>
  <si>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</si>
  <si>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</si>
  <si>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</si>
  <si>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</si>
  <si>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</si>
  <si>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</si>
  <si>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</si>
  <si>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</si>
  <si>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</si>
  <si>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</si>
  <si>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</si>
  <si>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</si>
  <si>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</si>
  <si>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</si>
  <si>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</si>
  <si>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</si>
  <si>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</si>
  <si>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</si>
  <si>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</si>
  <si>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</si>
  <si>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</si>
  <si>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</si>
  <si>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</si>
  <si>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</si>
  <si>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</si>
  <si>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</si>
  <si>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</si>
  <si>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</si>
  <si>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</si>
  <si>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</si>
  <si>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</si>
  <si>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</si>
  <si>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</si>
  <si>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</si>
  <si>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</si>
  <si>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</si>
  <si>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</si>
  <si>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</si>
  <si>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</si>
  <si>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</si>
  <si>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</si>
  <si>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</si>
  <si>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</si>
  <si>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</si>
  <si>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</si>
  <si>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</si>
  <si>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</si>
  <si>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</si>
  <si>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</si>
  <si>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</si>
  <si>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</si>
  <si>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</si>
  <si>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</si>
  <si>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</si>
  <si>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</si>
  <si>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</si>
  <si>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</si>
  <si>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</si>
  <si>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</si>
  <si>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</si>
  <si>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</si>
  <si>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</si>
  <si>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</si>
  <si>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</si>
  <si>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</si>
  <si>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Temperaturzone 1</t>
  </si>
  <si>
    <t>Naumburg</t>
  </si>
  <si>
    <t>DE_GMF04</t>
  </si>
  <si>
    <t>DE_GBA04</t>
  </si>
  <si>
    <t>DE_GBD04</t>
  </si>
  <si>
    <t>DE_GBH04</t>
  </si>
  <si>
    <t>DE_GGA04</t>
  </si>
  <si>
    <t>DE_GGB04</t>
  </si>
  <si>
    <t>DE_GHA04</t>
  </si>
  <si>
    <t>DE_GMK04</t>
  </si>
  <si>
    <t>DE_GKO04</t>
  </si>
  <si>
    <t>Technische Werke Naumburg GmbH</t>
  </si>
  <si>
    <t>9 8 7 0 1 0 5 2 0 0 0 0 8</t>
  </si>
  <si>
    <t>Steinkreuzweg 9</t>
  </si>
  <si>
    <t>Bork Immisch</t>
  </si>
  <si>
    <t>Bork.Immisch@sg-sas.de</t>
  </si>
  <si>
    <t>03443 2873 758</t>
  </si>
  <si>
    <t>THE0NKH701052000</t>
  </si>
  <si>
    <t>DTN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</si>
</sst>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3.425781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44768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44896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668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42" t="s">
        <v>669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670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6618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671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672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673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Technische Werke Naumburg GmbH</v>
      </c>
      <c r="E28" s="38"/>
      <c r="F28" s="11"/>
      <c r="G28" s="2"/>
    </row>
    <row r="29" spans="1:15">
      <c r="B29" s="15"/>
      <c r="C29" s="22" t="s">
        <v>393</v>
      </c>
      <c r="D29" s="45" t="s">
        <v>668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58" priority="3">
      <formula>IF(CELL("Zeile",D30)&lt;$D$25+CELL("Zeile",$D$29),1,0)</formula>
    </cfRule>
  </conditionalFormatting>
  <conditionalFormatting sqref="D30:D48">
    <cfRule type="expression" dxfId="57" priority="2">
      <formula>IF(CELL(D30)&lt;$D$27+27,1,0)</formula>
    </cfRule>
  </conditionalFormatting>
  <conditionalFormatting sqref="D29">
    <cfRule type="expression" dxfId="56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6" sqref="D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Technische Werke Naumburg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Technische Werke Naumburg GmbH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9 8 7 0 1 0 5 2 0 0 0 0 8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44896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7" t="s">
        <v>616</v>
      </c>
      <c r="I11" s="277" t="s">
        <v>617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653</v>
      </c>
      <c r="D13" s="42" t="s">
        <v>674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575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613</v>
      </c>
      <c r="D19" s="49" t="s">
        <v>609</v>
      </c>
      <c r="E19" s="15"/>
      <c r="H19" s="273" t="s">
        <v>609</v>
      </c>
      <c r="I19" s="273" t="s">
        <v>610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611</v>
      </c>
      <c r="E20" s="15"/>
      <c r="H20" s="273" t="s">
        <v>612</v>
      </c>
      <c r="I20" s="8" t="s">
        <v>608</v>
      </c>
      <c r="J20" s="8"/>
      <c r="K20" s="8"/>
      <c r="L20" s="274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3" t="s">
        <v>611</v>
      </c>
      <c r="I21" s="273" t="s">
        <v>618</v>
      </c>
      <c r="J21" s="8"/>
      <c r="K21" s="8"/>
      <c r="L21" s="276" t="s">
        <v>619</v>
      </c>
      <c r="M21" s="276" t="s">
        <v>621</v>
      </c>
      <c r="N21" s="276" t="s">
        <v>620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578</v>
      </c>
      <c r="D23" s="42" t="s">
        <v>134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622</v>
      </c>
      <c r="D24" s="42" t="s">
        <v>623</v>
      </c>
      <c r="E24" s="15"/>
      <c r="H24" s="309" t="s">
        <v>623</v>
      </c>
      <c r="I24" s="275" t="s">
        <v>624</v>
      </c>
      <c r="J24" s="275" t="s">
        <v>625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626</v>
      </c>
      <c r="I25" s="276" t="s">
        <v>627</v>
      </c>
      <c r="J25" s="276" t="s">
        <v>628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629</v>
      </c>
      <c r="I26" s="276" t="s">
        <v>630</v>
      </c>
      <c r="J26" s="276" t="s">
        <v>631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632</v>
      </c>
      <c r="I29" s="276" t="s">
        <v>633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634</v>
      </c>
      <c r="I30" s="273" t="s">
        <v>629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12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60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5" t="s">
        <v>657</v>
      </c>
    </row>
    <row r="46" spans="2:39" ht="18" customHeight="1">
      <c r="C46" s="22" t="s">
        <v>587</v>
      </c>
      <c r="D46" s="45"/>
    </row>
    <row r="47" spans="2:39" ht="18" customHeight="1">
      <c r="C47" s="22" t="s">
        <v>588</v>
      </c>
      <c r="D47" s="45"/>
    </row>
    <row r="48" spans="2:39" ht="18" customHeight="1">
      <c r="C48" s="22" t="s">
        <v>589</v>
      </c>
      <c r="D48" s="45"/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</sheetData>
  <conditionalFormatting sqref="D13">
    <cfRule type="expression" dxfId="55" priority="21">
      <formula>IF(#REF!="Gaspool",1,0)</formula>
    </cfRule>
  </conditionalFormatting>
  <conditionalFormatting sqref="D46:D59">
    <cfRule type="expression" dxfId="54" priority="17">
      <formula>IF(CELL("Zeile",D46)&lt;$D$43+CELL("Zeile",$D$45),1,0)</formula>
    </cfRule>
  </conditionalFormatting>
  <conditionalFormatting sqref="D46:D59">
    <cfRule type="expression" dxfId="53" priority="16">
      <formula>IF(CELL(D46)&lt;$D$33+27,1,0)</formula>
    </cfRule>
  </conditionalFormatting>
  <conditionalFormatting sqref="D20">
    <cfRule type="expression" dxfId="52" priority="15">
      <formula>IF($D$19=$H$19,1,0)</formula>
    </cfRule>
  </conditionalFormatting>
  <conditionalFormatting sqref="D28">
    <cfRule type="expression" dxfId="51" priority="4">
      <formula>IF($D$15="synthetisch",1,0)</formula>
    </cfRule>
  </conditionalFormatting>
  <conditionalFormatting sqref="D25">
    <cfRule type="expression" dxfId="50" priority="2">
      <formula>IF(AND($D$24=$I$24,$D$23=$H$23),1,0)</formula>
    </cfRule>
  </conditionalFormatting>
  <conditionalFormatting sqref="D23:D25">
    <cfRule type="expression" dxfId="49" priority="5">
      <formula>IF($D$15="analytisch",1,0)</formula>
    </cfRule>
  </conditionalFormatting>
  <conditionalFormatting sqref="D24">
    <cfRule type="expression" dxfId="48" priority="3">
      <formula>IF($D$23="nein",1)</formula>
    </cfRule>
  </conditionalFormatting>
  <conditionalFormatting sqref="D45">
    <cfRule type="expression" dxfId="47" priority="1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="70" zoomScaleNormal="70" workbookViewId="0">
      <selection activeCell="F9" sqref="F9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2:56" ht="75" customHeight="1"/>
    <row r="2" spans="2:56" ht="23.25">
      <c r="B2" s="172" t="s">
        <v>544</v>
      </c>
    </row>
    <row r="3" spans="2:56" ht="15" customHeight="1">
      <c r="B3" s="172"/>
    </row>
    <row r="4" spans="2:56">
      <c r="B4" s="131"/>
      <c r="C4" s="56" t="s">
        <v>442</v>
      </c>
      <c r="D4" s="57"/>
      <c r="E4" s="58" t="str">
        <f>Netzbetreiber!D9</f>
        <v>Technische Werke Naumburg GmbH</v>
      </c>
      <c r="F4" s="131"/>
      <c r="M4" s="131"/>
      <c r="N4" s="131"/>
      <c r="O4" s="131"/>
    </row>
    <row r="5" spans="2:56">
      <c r="B5" s="131"/>
      <c r="C5" s="56" t="s">
        <v>441</v>
      </c>
      <c r="D5" s="57"/>
      <c r="E5" s="58" t="str">
        <f>Netzbetreiber!D28</f>
        <v>Technische Werke Naumburg GmbH</v>
      </c>
      <c r="F5" s="131"/>
      <c r="G5" s="131"/>
      <c r="H5" s="131"/>
      <c r="M5" s="131"/>
      <c r="N5" s="131"/>
      <c r="O5" s="131"/>
    </row>
    <row r="6" spans="2:56">
      <c r="B6" s="131"/>
      <c r="C6" s="60" t="s">
        <v>485</v>
      </c>
      <c r="D6" s="57"/>
      <c r="E6" s="61" t="str">
        <f>Netzbetreiber!D11</f>
        <v>9 8 7 0 1 0 5 2 0 0 0 0 8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56">
      <c r="B7" s="131"/>
      <c r="C7" s="56" t="s">
        <v>133</v>
      </c>
      <c r="D7" s="57"/>
      <c r="E7" s="50">
        <f>Netzbetreiber!D6</f>
        <v>44896</v>
      </c>
      <c r="F7" s="131"/>
      <c r="G7" s="131"/>
      <c r="J7" s="131"/>
      <c r="K7" s="131"/>
      <c r="L7" s="131"/>
      <c r="M7" s="131"/>
      <c r="N7" s="131"/>
      <c r="O7" s="131"/>
    </row>
    <row r="8" spans="2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2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2:56">
      <c r="B10" s="131"/>
      <c r="C10" s="56" t="s">
        <v>585</v>
      </c>
      <c r="D10" s="131"/>
      <c r="E10" s="131"/>
      <c r="F10" s="300">
        <v>1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2:56">
      <c r="B11" s="131"/>
      <c r="C11" s="56" t="s">
        <v>603</v>
      </c>
      <c r="D11" s="131"/>
      <c r="E11" s="131"/>
      <c r="F11" s="297" t="str">
        <f>INDEX('SLP-Verfahren'!D45:D59,'SLP-Temp-Gebiet #01'!F10)</f>
        <v>Temperaturzone 1</v>
      </c>
      <c r="G11" s="301"/>
      <c r="H11" s="299"/>
      <c r="J11" s="131"/>
      <c r="K11" s="131"/>
      <c r="L11" s="131"/>
      <c r="M11" s="131"/>
      <c r="N11" s="131"/>
      <c r="O11" s="131"/>
    </row>
    <row r="12" spans="2:56"/>
    <row r="13" spans="2:56" ht="18" customHeight="1">
      <c r="B13" s="131"/>
      <c r="C13" s="352" t="s">
        <v>584</v>
      </c>
      <c r="D13" s="352"/>
      <c r="E13" s="352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2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2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675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2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523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525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537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675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DTN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520</v>
      </c>
      <c r="D24" s="189"/>
      <c r="E24" s="157" t="s">
        <v>658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>
        <v>95601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656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655</v>
      </c>
      <c r="T26" s="210" t="s">
        <v>656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 8 7 0 1 0 5 2 0 0 0 0 895601A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519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526</v>
      </c>
      <c r="D32" s="187" t="s">
        <v>255</v>
      </c>
      <c r="E32" s="288">
        <f>1-SUMPRODUCT(F30:N30,F32:N32)</f>
        <v>1</v>
      </c>
      <c r="F32" s="288"/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533</v>
      </c>
      <c r="D33" s="294">
        <f>SUMPRODUCT(E33:N33,E30:N30)</f>
        <v>1</v>
      </c>
      <c r="E33" s="289">
        <v>1</v>
      </c>
      <c r="F33" s="289"/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/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/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605</v>
      </c>
      <c r="D36" s="154" t="s">
        <v>606</v>
      </c>
      <c r="E36" s="157" t="s">
        <v>604</v>
      </c>
      <c r="F36" s="157"/>
      <c r="G36" s="157" t="s">
        <v>604</v>
      </c>
      <c r="H36" s="157" t="s">
        <v>604</v>
      </c>
      <c r="I36" s="157" t="s">
        <v>604</v>
      </c>
      <c r="J36" s="157" t="s">
        <v>604</v>
      </c>
      <c r="K36" s="157" t="s">
        <v>604</v>
      </c>
      <c r="L36" s="157" t="s">
        <v>604</v>
      </c>
      <c r="M36" s="157" t="s">
        <v>604</v>
      </c>
      <c r="N36" s="157" t="s">
        <v>604</v>
      </c>
      <c r="O36" s="186" t="s">
        <v>142</v>
      </c>
      <c r="Q36" s="212"/>
      <c r="R36" s="68" t="s">
        <v>604</v>
      </c>
      <c r="S36" s="68" t="s">
        <v>607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538</v>
      </c>
      <c r="E37" s="163" t="s">
        <v>449</v>
      </c>
      <c r="F37" s="163"/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530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536</v>
      </c>
      <c r="D47" s="202" t="s">
        <v>534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534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543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518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525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537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DTN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57" t="str">
        <f>E24</f>
        <v>Naumburg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521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>
        <f>E25</f>
        <v>95601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Allgemeine GPT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519</v>
      </c>
      <c r="D63" s="131"/>
      <c r="E63" s="131"/>
      <c r="F63" s="158"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526</v>
      </c>
      <c r="D66" s="187" t="s">
        <v>255</v>
      </c>
      <c r="E66" s="288">
        <f>1-SUMPRODUCT(F64:N64,F66:N66)</f>
        <v>1</v>
      </c>
      <c r="F66" s="288">
        <f>ROUND(F67/$D$67,4)</f>
        <v>0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533</v>
      </c>
      <c r="D67" s="187">
        <f>SUMPRODUCT(E67:N67,E64:N64)</f>
        <v>1</v>
      </c>
      <c r="E67" s="296">
        <f>E33</f>
        <v>1</v>
      </c>
      <c r="F67" s="296">
        <f t="shared" ref="F67:N67" si="13">F33</f>
        <v>0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>
        <f t="shared" ref="F68:N68" si="14">F34</f>
        <v>0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>
        <f t="shared" ref="F69:N69" si="15">F35</f>
        <v>0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605</v>
      </c>
      <c r="D70" s="154" t="s">
        <v>606</v>
      </c>
      <c r="E70" s="160" t="str">
        <f>E36</f>
        <v>CET/CEST</v>
      </c>
      <c r="F70" s="160">
        <f t="shared" ref="F70:N70" si="16">F36</f>
        <v>0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538</v>
      </c>
      <c r="E71" s="164" t="s">
        <v>449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580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F25:N25 E57:N60 E22:F22 I22:N22 F53 G24:N24 G71:N71 E35 E70:N70 E33 G33:N33 E34 G34:N34 G35:N35 G37:N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Technische Werke Naumburg GmbH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300">
        <v>2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584</v>
      </c>
      <c r="D13" s="352"/>
      <c r="E13" s="352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528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517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525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537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520</v>
      </c>
      <c r="D24" s="189"/>
      <c r="E24" s="157" t="s">
        <v>581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526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533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605</v>
      </c>
      <c r="D35" s="154" t="s">
        <v>606</v>
      </c>
      <c r="E35" s="157" t="s">
        <v>604</v>
      </c>
      <c r="F35" s="157" t="s">
        <v>604</v>
      </c>
      <c r="G35" s="157" t="s">
        <v>604</v>
      </c>
      <c r="H35" s="157" t="s">
        <v>604</v>
      </c>
      <c r="I35" s="157" t="s">
        <v>604</v>
      </c>
      <c r="J35" s="157" t="s">
        <v>604</v>
      </c>
      <c r="K35" s="157" t="s">
        <v>604</v>
      </c>
      <c r="L35" s="157" t="s">
        <v>604</v>
      </c>
      <c r="M35" s="157" t="s">
        <v>604</v>
      </c>
      <c r="N35" s="157" t="s">
        <v>604</v>
      </c>
      <c r="O35" s="186" t="s">
        <v>142</v>
      </c>
      <c r="Q35" s="212"/>
      <c r="R35" s="68" t="s">
        <v>604</v>
      </c>
      <c r="S35" s="68" t="s">
        <v>607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538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536</v>
      </c>
      <c r="D46" s="202" t="s">
        <v>534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534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518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525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537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519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526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533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605</v>
      </c>
      <c r="D69" s="154" t="s">
        <v>606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538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4" t="s">
        <v>580</v>
      </c>
      <c r="D72" s="354"/>
      <c r="E72" s="354"/>
      <c r="F72" s="35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P24" sqref="P24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Technische Werke Naumburg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Technische Werke Naumburg GmbH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9 8 7 0 1 0 5 2 0 0 0 0 8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44896</v>
      </c>
      <c r="E8" s="131"/>
      <c r="F8" s="131"/>
      <c r="H8" s="129" t="s">
        <v>493</v>
      </c>
      <c r="J8" s="133">
        <f>COUNTA(D12:D100)</f>
        <v>12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635</v>
      </c>
      <c r="M10" s="151" t="s">
        <v>644</v>
      </c>
      <c r="N10" s="152" t="s">
        <v>645</v>
      </c>
      <c r="O10" s="152" t="s">
        <v>646</v>
      </c>
      <c r="P10" s="153" t="s">
        <v>647</v>
      </c>
      <c r="Q10" s="147" t="s">
        <v>636</v>
      </c>
      <c r="R10" s="137" t="s">
        <v>637</v>
      </c>
      <c r="S10" s="138" t="s">
        <v>638</v>
      </c>
      <c r="T10" s="138" t="s">
        <v>639</v>
      </c>
      <c r="U10" s="138" t="s">
        <v>640</v>
      </c>
      <c r="V10" s="138" t="s">
        <v>641</v>
      </c>
      <c r="W10" s="138" t="s">
        <v>642</v>
      </c>
      <c r="X10" s="139" t="s">
        <v>643</v>
      </c>
      <c r="Y10" s="306" t="s">
        <v>648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 t="s">
        <v>516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Technische Werke Naumburg GmbH</v>
      </c>
      <c r="D12" s="63" t="s">
        <v>248</v>
      </c>
      <c r="E12" s="166" t="s">
        <v>4</v>
      </c>
      <c r="F12" s="308" t="str">
        <f>VLOOKUP($E12,'BDEW-Standard'!$B$3:$M$94,F$9,0)</f>
        <v>HK3</v>
      </c>
      <c r="H12" s="279">
        <f>ROUND(VLOOKUP($E12,'BDEW-Standard'!$B$3:$M$94,H$9,0),7)</f>
        <v>0.40409319999999999</v>
      </c>
      <c r="I12" s="279">
        <f>ROUND(VLOOKUP($E12,'BDEW-Standard'!$B$3:$M$94,I$9,0),7)</f>
        <v>-24.439296800000001</v>
      </c>
      <c r="J12" s="279">
        <f>ROUND(VLOOKUP($E12,'BDEW-Standard'!$B$3:$M$94,J$9,0),7)</f>
        <v>6.5718174999999999</v>
      </c>
      <c r="K12" s="279">
        <f>ROUND(VLOOKUP($E12,'BDEW-Standard'!$B$3:$M$94,K$9,0),7)</f>
        <v>0.71077100000000004</v>
      </c>
      <c r="L12" s="280">
        <f>ROUND(VLOOKUP($E12,'BDEW-Standard'!$B$3:$M$94,L$9,0),1)</f>
        <v>40</v>
      </c>
      <c r="M12" s="279">
        <f>ROUND(VLOOKUP($E12,'BDEW-Standard'!$B$3:$M$94,M$9,0),7)</f>
        <v>0</v>
      </c>
      <c r="N12" s="279">
        <f>ROUND(VLOOKUP($E12,'BDEW-Standard'!$B$3:$M$94,N$9,0),7)</f>
        <v>0</v>
      </c>
      <c r="O12" s="279">
        <f>ROUND(VLOOKUP($E12,'BDEW-Standard'!$B$3:$M$94,O$9,0),7)</f>
        <v>0</v>
      </c>
      <c r="P12" s="279">
        <f>ROUND(VLOOKUP($E12,'BDEW-Standard'!$B$3:$M$94,P$9,0),7)</f>
        <v>0</v>
      </c>
      <c r="Q12" s="281">
        <f t="shared" ref="Q12:Q23" si="1">($H12/(1+($I12/($Q$9-$L12))^$J12)+$K12)+MAX($M12*$Q$9+$N12,$O12*$Q$9+$P12)</f>
        <v>1.0561214000512988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Technische Werke Naumburg GmbH</v>
      </c>
      <c r="D13" s="63" t="s">
        <v>248</v>
      </c>
      <c r="E13" s="166" t="s">
        <v>659</v>
      </c>
      <c r="F13" s="308" t="str">
        <f>VLOOKUP($E13,'BDEW-Standard'!$B$3:$M$94,F$9,0)</f>
        <v>MF4</v>
      </c>
      <c r="H13" s="279">
        <f>ROUND(VLOOKUP($E13,'BDEW-Standard'!$B$3:$M$94,H$9,0),7)</f>
        <v>2.5187775000000001</v>
      </c>
      <c r="I13" s="279">
        <f>ROUND(VLOOKUP($E13,'BDEW-Standard'!$B$3:$M$94,I$9,0),7)</f>
        <v>-35.033375399999997</v>
      </c>
      <c r="J13" s="279">
        <f>ROUND(VLOOKUP($E13,'BDEW-Standard'!$B$3:$M$94,J$9,0),7)</f>
        <v>6.2240634000000004</v>
      </c>
      <c r="K13" s="279">
        <f>ROUND(VLOOKUP($E13,'BDEW-Standard'!$B$3:$M$94,K$9,0),7)</f>
        <v>0.10107820000000001</v>
      </c>
      <c r="L13" s="280">
        <f>ROUND(VLOOKUP($E13,'BDEW-Standard'!$B$3:$M$94,L$9,0),1)</f>
        <v>40</v>
      </c>
      <c r="M13" s="279">
        <f>ROUND(VLOOKUP($E13,'BDEW-Standard'!$B$3:$M$94,M$9,0),7)</f>
        <v>0</v>
      </c>
      <c r="N13" s="279">
        <f>ROUND(VLOOKUP($E13,'BDEW-Standard'!$B$3:$M$94,N$9,0),7)</f>
        <v>0</v>
      </c>
      <c r="O13" s="279">
        <f>ROUND(VLOOKUP($E13,'BDEW-Standard'!$B$3:$M$94,O$9,0),7)</f>
        <v>0</v>
      </c>
      <c r="P13" s="279">
        <f>ROUND(VLOOKUP($E13,'BDEW-Standard'!$B$3:$M$94,P$9,0),7)</f>
        <v>0</v>
      </c>
      <c r="Q13" s="281">
        <f t="shared" si="1"/>
        <v>1.0146273685996503</v>
      </c>
      <c r="R13" s="282">
        <f>ROUND(VLOOKUP(MID($E13,4,3),'Wochentag F(WT)'!$B$7:$J$22,R$9,0),4)</f>
        <v>1.0354000000000001</v>
      </c>
      <c r="S13" s="282">
        <f>ROUND(VLOOKUP(MID($E13,4,3),'Wochentag F(WT)'!$B$7:$J$22,S$9,0),4)</f>
        <v>1.0523</v>
      </c>
      <c r="T13" s="282">
        <f>ROUND(VLOOKUP(MID($E13,4,3),'Wochentag F(WT)'!$B$7:$J$22,T$9,0),4)</f>
        <v>1.0448999999999999</v>
      </c>
      <c r="U13" s="282">
        <f>ROUND(VLOOKUP(MID($E13,4,3),'Wochentag F(WT)'!$B$7:$J$22,U$9,0),4)</f>
        <v>1.0494000000000001</v>
      </c>
      <c r="V13" s="282">
        <f>ROUND(VLOOKUP(MID($E13,4,3),'Wochentag F(WT)'!$B$7:$J$22,V$9,0),4)</f>
        <v>0.98850000000000005</v>
      </c>
      <c r="W13" s="282">
        <f>ROUND(VLOOKUP(MID($E13,4,3),'Wochentag F(WT)'!$B$7:$J$22,W$9,0),4)</f>
        <v>0.88600000000000001</v>
      </c>
      <c r="X13" s="283">
        <f t="shared" ref="X13:X23" si="2">7-SUM(R13:W13)</f>
        <v>0.94349999999999934</v>
      </c>
      <c r="Y13" s="304"/>
      <c r="Z13" s="213"/>
    </row>
    <row r="14" spans="2:26" s="144" customFormat="1">
      <c r="B14" s="145">
        <v>3</v>
      </c>
      <c r="C14" s="146" t="str">
        <f t="shared" si="0"/>
        <v>Technische Werke Naumburg GmbH</v>
      </c>
      <c r="D14" s="63" t="s">
        <v>248</v>
      </c>
      <c r="E14" s="166" t="s">
        <v>660</v>
      </c>
      <c r="F14" s="308" t="str">
        <f>VLOOKUP($E14,'BDEW-Standard'!$B$3:$M$94,F$9,0)</f>
        <v>BA4</v>
      </c>
      <c r="H14" s="279">
        <f>ROUND(VLOOKUP($E14,'BDEW-Standard'!$B$3:$M$94,H$9,0),7)</f>
        <v>0.93158890000000005</v>
      </c>
      <c r="I14" s="279">
        <f>ROUND(VLOOKUP($E14,'BDEW-Standard'!$B$3:$M$94,I$9,0),7)</f>
        <v>-33.35</v>
      </c>
      <c r="J14" s="279">
        <f>ROUND(VLOOKUP($E14,'BDEW-Standard'!$B$3:$M$94,J$9,0),7)</f>
        <v>5.7212303000000002</v>
      </c>
      <c r="K14" s="279">
        <f>ROUND(VLOOKUP($E14,'BDEW-Standard'!$B$3:$M$94,K$9,0),7)</f>
        <v>0.66564939999999995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1.0766391850538448</v>
      </c>
      <c r="R14" s="282">
        <f>ROUND(VLOOKUP(MID($E14,4,3),'Wochentag F(WT)'!$B$7:$J$22,R$9,0),4)</f>
        <v>1.0848</v>
      </c>
      <c r="S14" s="282">
        <f>ROUND(VLOOKUP(MID($E14,4,3),'Wochentag F(WT)'!$B$7:$J$22,S$9,0),4)</f>
        <v>1.1211</v>
      </c>
      <c r="T14" s="282">
        <f>ROUND(VLOOKUP(MID($E14,4,3),'Wochentag F(WT)'!$B$7:$J$22,T$9,0),4)</f>
        <v>1.0769</v>
      </c>
      <c r="U14" s="282">
        <f>ROUND(VLOOKUP(MID($E14,4,3),'Wochentag F(WT)'!$B$7:$J$22,U$9,0),4)</f>
        <v>1.1353</v>
      </c>
      <c r="V14" s="282">
        <f>ROUND(VLOOKUP(MID($E14,4,3),'Wochentag F(WT)'!$B$7:$J$22,V$9,0),4)</f>
        <v>1.1402000000000001</v>
      </c>
      <c r="W14" s="282">
        <f>ROUND(VLOOKUP(MID($E14,4,3),'Wochentag F(WT)'!$B$7:$J$22,W$9,0),4)</f>
        <v>0.48520000000000002</v>
      </c>
      <c r="X14" s="283">
        <f t="shared" si="2"/>
        <v>0.95650000000000013</v>
      </c>
      <c r="Y14" s="304"/>
      <c r="Z14" s="213"/>
    </row>
    <row r="15" spans="2:26" s="144" customFormat="1">
      <c r="B15" s="145">
        <v>4</v>
      </c>
      <c r="C15" s="146" t="str">
        <f t="shared" si="0"/>
        <v>Technische Werke Naumburg GmbH</v>
      </c>
      <c r="D15" s="63" t="s">
        <v>248</v>
      </c>
      <c r="E15" s="166" t="s">
        <v>661</v>
      </c>
      <c r="F15" s="308" t="str">
        <f>VLOOKUP($E15,'BDEW-Standard'!$B$3:$M$94,F$9,0)</f>
        <v>BD4</v>
      </c>
      <c r="H15" s="279">
        <f>ROUND(VLOOKUP($E15,'BDEW-Standard'!$B$3:$M$94,H$9,0),7)</f>
        <v>3.75</v>
      </c>
      <c r="I15" s="279">
        <f>ROUND(VLOOKUP($E15,'BDEW-Standard'!$B$3:$M$94,I$9,0),7)</f>
        <v>-37.5</v>
      </c>
      <c r="J15" s="279">
        <f>ROUND(VLOOKUP($E15,'BDEW-Standard'!$B$3:$M$94,J$9,0),7)</f>
        <v>6.8</v>
      </c>
      <c r="K15" s="279">
        <f>ROUND(VLOOKUP($E15,'BDEW-Standard'!$B$3:$M$94,K$9,0),7)</f>
        <v>6.0911300000000002E-2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1.0126136468627658</v>
      </c>
      <c r="R15" s="282">
        <f>ROUND(VLOOKUP(MID($E15,4,3),'Wochentag F(WT)'!$B$7:$J$22,R$9,0),4)</f>
        <v>1.1052</v>
      </c>
      <c r="S15" s="282">
        <f>ROUND(VLOOKUP(MID($E15,4,3),'Wochentag F(WT)'!$B$7:$J$22,S$9,0),4)</f>
        <v>1.0857000000000001</v>
      </c>
      <c r="T15" s="282">
        <f>ROUND(VLOOKUP(MID($E15,4,3),'Wochentag F(WT)'!$B$7:$J$22,T$9,0),4)</f>
        <v>1.0378000000000001</v>
      </c>
      <c r="U15" s="282">
        <f>ROUND(VLOOKUP(MID($E15,4,3),'Wochentag F(WT)'!$B$7:$J$22,U$9,0),4)</f>
        <v>1.0622</v>
      </c>
      <c r="V15" s="282">
        <f>ROUND(VLOOKUP(MID($E15,4,3),'Wochentag F(WT)'!$B$7:$J$22,V$9,0),4)</f>
        <v>1.0266</v>
      </c>
      <c r="W15" s="282">
        <f>ROUND(VLOOKUP(MID($E15,4,3),'Wochentag F(WT)'!$B$7:$J$22,W$9,0),4)</f>
        <v>0.76290000000000002</v>
      </c>
      <c r="X15" s="283">
        <f t="shared" si="2"/>
        <v>0.91959999999999997</v>
      </c>
      <c r="Y15" s="304"/>
      <c r="Z15" s="213"/>
    </row>
    <row r="16" spans="2:26" s="144" customFormat="1">
      <c r="B16" s="145">
        <v>5</v>
      </c>
      <c r="C16" s="146" t="str">
        <f t="shared" si="0"/>
        <v>Technische Werke Naumburg GmbH</v>
      </c>
      <c r="D16" s="63" t="s">
        <v>248</v>
      </c>
      <c r="E16" s="166" t="s">
        <v>662</v>
      </c>
      <c r="F16" s="308" t="str">
        <f>VLOOKUP($E16,'BDEW-Standard'!$B$3:$M$94,F$9,0)</f>
        <v>BH4</v>
      </c>
      <c r="H16" s="279">
        <f>ROUND(VLOOKUP($E16,'BDEW-Standard'!$B$3:$M$94,H$9,0),7)</f>
        <v>2.4595180999999999</v>
      </c>
      <c r="I16" s="279">
        <f>ROUND(VLOOKUP($E16,'BDEW-Standard'!$B$3:$M$94,I$9,0),7)</f>
        <v>-35.253212400000002</v>
      </c>
      <c r="J16" s="279">
        <f>ROUND(VLOOKUP($E16,'BDEW-Standard'!$B$3:$M$94,J$9,0),7)</f>
        <v>6.0587001000000003</v>
      </c>
      <c r="K16" s="279">
        <f>ROUND(VLOOKUP($E16,'BDEW-Standard'!$B$3:$M$94,K$9,0),7)</f>
        <v>0.16473699999999999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1.043802057143173</v>
      </c>
      <c r="R16" s="282">
        <f>ROUND(VLOOKUP(MID($E16,4,3),'Wochentag F(WT)'!$B$7:$J$22,R$9,0),4)</f>
        <v>0.97670000000000001</v>
      </c>
      <c r="S16" s="282">
        <f>ROUND(VLOOKUP(MID($E16,4,3),'Wochentag F(WT)'!$B$7:$J$22,S$9,0),4)</f>
        <v>1.0388999999999999</v>
      </c>
      <c r="T16" s="282">
        <f>ROUND(VLOOKUP(MID($E16,4,3),'Wochentag F(WT)'!$B$7:$J$22,T$9,0),4)</f>
        <v>1.0027999999999999</v>
      </c>
      <c r="U16" s="282">
        <f>ROUND(VLOOKUP(MID($E16,4,3),'Wochentag F(WT)'!$B$7:$J$22,U$9,0),4)</f>
        <v>1.0162</v>
      </c>
      <c r="V16" s="282">
        <f>ROUND(VLOOKUP(MID($E16,4,3),'Wochentag F(WT)'!$B$7:$J$22,V$9,0),4)</f>
        <v>1.0024</v>
      </c>
      <c r="W16" s="282">
        <f>ROUND(VLOOKUP(MID($E16,4,3),'Wochentag F(WT)'!$B$7:$J$22,W$9,0),4)</f>
        <v>1.0043</v>
      </c>
      <c r="X16" s="283">
        <f t="shared" si="2"/>
        <v>0.95870000000000122</v>
      </c>
      <c r="Y16" s="304"/>
      <c r="Z16" s="213"/>
    </row>
    <row r="17" spans="2:26" s="144" customFormat="1">
      <c r="B17" s="145">
        <v>6</v>
      </c>
      <c r="C17" s="146" t="str">
        <f t="shared" si="0"/>
        <v>Technische Werke Naumburg GmbH</v>
      </c>
      <c r="D17" s="63" t="s">
        <v>248</v>
      </c>
      <c r="E17" s="166" t="s">
        <v>663</v>
      </c>
      <c r="F17" s="308" t="str">
        <f>VLOOKUP($E17,'BDEW-Standard'!$B$3:$M$94,F$9,0)</f>
        <v>GA4</v>
      </c>
      <c r="H17" s="279">
        <f>ROUND(VLOOKUP($E17,'BDEW-Standard'!$B$3:$M$94,H$9,0),7)</f>
        <v>2.8195655999999998</v>
      </c>
      <c r="I17" s="279">
        <f>ROUND(VLOOKUP($E17,'BDEW-Standard'!$B$3:$M$94,I$9,0),7)</f>
        <v>-36</v>
      </c>
      <c r="J17" s="279">
        <f>ROUND(VLOOKUP($E17,'BDEW-Standard'!$B$3:$M$94,J$9,0),7)</f>
        <v>7.7368518000000002</v>
      </c>
      <c r="K17" s="279">
        <f>ROUND(VLOOKUP($E17,'BDEW-Standard'!$B$3:$M$94,K$9,0),7)</f>
        <v>0.157281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0.96576337685759206</v>
      </c>
      <c r="R17" s="282">
        <f>ROUND(VLOOKUP(MID($E17,4,3),'Wochentag F(WT)'!$B$7:$J$22,R$9,0),4)</f>
        <v>0.93220000000000003</v>
      </c>
      <c r="S17" s="282">
        <f>ROUND(VLOOKUP(MID($E17,4,3),'Wochentag F(WT)'!$B$7:$J$22,S$9,0),4)</f>
        <v>0.98939999999999995</v>
      </c>
      <c r="T17" s="282">
        <f>ROUND(VLOOKUP(MID($E17,4,3),'Wochentag F(WT)'!$B$7:$J$22,T$9,0),4)</f>
        <v>1.0033000000000001</v>
      </c>
      <c r="U17" s="282">
        <f>ROUND(VLOOKUP(MID($E17,4,3),'Wochentag F(WT)'!$B$7:$J$22,U$9,0),4)</f>
        <v>1.0108999999999999</v>
      </c>
      <c r="V17" s="282">
        <f>ROUND(VLOOKUP(MID($E17,4,3),'Wochentag F(WT)'!$B$7:$J$22,V$9,0),4)</f>
        <v>1.018</v>
      </c>
      <c r="W17" s="282">
        <f>ROUND(VLOOKUP(MID($E17,4,3),'Wochentag F(WT)'!$B$7:$J$22,W$9,0),4)</f>
        <v>1.0356000000000001</v>
      </c>
      <c r="X17" s="283">
        <f t="shared" si="2"/>
        <v>1.0106000000000002</v>
      </c>
      <c r="Y17" s="304"/>
      <c r="Z17" s="213"/>
    </row>
    <row r="18" spans="2:26" s="144" customFormat="1">
      <c r="B18" s="145">
        <v>7</v>
      </c>
      <c r="C18" s="146" t="str">
        <f t="shared" si="0"/>
        <v>Technische Werke Naumburg GmbH</v>
      </c>
      <c r="D18" s="63" t="s">
        <v>248</v>
      </c>
      <c r="E18" s="166" t="s">
        <v>664</v>
      </c>
      <c r="F18" s="308" t="str">
        <f>VLOOKUP($E18,'BDEW-Standard'!$B$3:$M$94,F$9,0)</f>
        <v>GB4</v>
      </c>
      <c r="H18" s="279">
        <f>ROUND(VLOOKUP($E18,'BDEW-Standard'!$B$3:$M$94,H$9,0),7)</f>
        <v>3.6017736</v>
      </c>
      <c r="I18" s="279">
        <f>ROUND(VLOOKUP($E18,'BDEW-Standard'!$B$3:$M$94,I$9,0),7)</f>
        <v>-37.882536799999997</v>
      </c>
      <c r="J18" s="279">
        <f>ROUND(VLOOKUP($E18,'BDEW-Standard'!$B$3:$M$94,J$9,0),7)</f>
        <v>6.9836070000000001</v>
      </c>
      <c r="K18" s="279">
        <f>ROUND(VLOOKUP($E18,'BDEW-Standard'!$B$3:$M$94,K$9,0),7)</f>
        <v>5.4826199999999999E-2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0.90239375975311864</v>
      </c>
      <c r="R18" s="282">
        <f>ROUND(VLOOKUP(MID($E18,4,3),'Wochentag F(WT)'!$B$7:$J$22,R$9,0),4)</f>
        <v>0.98970000000000002</v>
      </c>
      <c r="S18" s="282">
        <f>ROUND(VLOOKUP(MID($E18,4,3),'Wochentag F(WT)'!$B$7:$J$22,S$9,0),4)</f>
        <v>0.9627</v>
      </c>
      <c r="T18" s="282">
        <f>ROUND(VLOOKUP(MID($E18,4,3),'Wochentag F(WT)'!$B$7:$J$22,T$9,0),4)</f>
        <v>1.0507</v>
      </c>
      <c r="U18" s="282">
        <f>ROUND(VLOOKUP(MID($E18,4,3),'Wochentag F(WT)'!$B$7:$J$22,U$9,0),4)</f>
        <v>1.0551999999999999</v>
      </c>
      <c r="V18" s="282">
        <f>ROUND(VLOOKUP(MID($E18,4,3),'Wochentag F(WT)'!$B$7:$J$22,V$9,0),4)</f>
        <v>1.0297000000000001</v>
      </c>
      <c r="W18" s="282">
        <f>ROUND(VLOOKUP(MID($E18,4,3),'Wochentag F(WT)'!$B$7:$J$22,W$9,0),4)</f>
        <v>0.97670000000000001</v>
      </c>
      <c r="X18" s="283">
        <f t="shared" si="2"/>
        <v>0.9352999999999998</v>
      </c>
      <c r="Y18" s="304"/>
      <c r="Z18" s="213"/>
    </row>
    <row r="19" spans="2:26" s="144" customFormat="1">
      <c r="B19" s="145">
        <v>8</v>
      </c>
      <c r="C19" s="146" t="str">
        <f t="shared" si="0"/>
        <v>Technische Werke Naumburg GmbH</v>
      </c>
      <c r="D19" s="63" t="s">
        <v>248</v>
      </c>
      <c r="E19" s="166" t="s">
        <v>665</v>
      </c>
      <c r="F19" s="308" t="str">
        <f>VLOOKUP($E19,'BDEW-Standard'!$B$3:$M$94,F$9,0)</f>
        <v>HA4</v>
      </c>
      <c r="H19" s="279">
        <f>ROUND(VLOOKUP($E19,'BDEW-Standard'!$B$3:$M$94,H$9,0),7)</f>
        <v>4.0196902000000003</v>
      </c>
      <c r="I19" s="279">
        <f>ROUND(VLOOKUP($E19,'BDEW-Standard'!$B$3:$M$94,I$9,0),7)</f>
        <v>-37.828203700000003</v>
      </c>
      <c r="J19" s="279">
        <f>ROUND(VLOOKUP($E19,'BDEW-Standard'!$B$3:$M$94,J$9,0),7)</f>
        <v>8.1593368999999996</v>
      </c>
      <c r="K19" s="279">
        <f>ROUND(VLOOKUP($E19,'BDEW-Standard'!$B$3:$M$94,K$9,0),7)</f>
        <v>4.72845E-2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0.86486713303260787</v>
      </c>
      <c r="R19" s="282">
        <f>ROUND(VLOOKUP(MID($E19,4,3),'Wochentag F(WT)'!$B$7:$J$22,R$9,0),4)</f>
        <v>1.0358000000000001</v>
      </c>
      <c r="S19" s="282">
        <f>ROUND(VLOOKUP(MID($E19,4,3),'Wochentag F(WT)'!$B$7:$J$22,S$9,0),4)</f>
        <v>1.0232000000000001</v>
      </c>
      <c r="T19" s="282">
        <f>ROUND(VLOOKUP(MID($E19,4,3),'Wochentag F(WT)'!$B$7:$J$22,T$9,0),4)</f>
        <v>1.0251999999999999</v>
      </c>
      <c r="U19" s="282">
        <f>ROUND(VLOOKUP(MID($E19,4,3),'Wochentag F(WT)'!$B$7:$J$22,U$9,0),4)</f>
        <v>1.0295000000000001</v>
      </c>
      <c r="V19" s="282">
        <f>ROUND(VLOOKUP(MID($E19,4,3),'Wochentag F(WT)'!$B$7:$J$22,V$9,0),4)</f>
        <v>1.0253000000000001</v>
      </c>
      <c r="W19" s="282">
        <f>ROUND(VLOOKUP(MID($E19,4,3),'Wochentag F(WT)'!$B$7:$J$22,W$9,0),4)</f>
        <v>0.96750000000000003</v>
      </c>
      <c r="X19" s="283">
        <f t="shared" si="2"/>
        <v>0.89350000000000041</v>
      </c>
      <c r="Y19" s="304"/>
      <c r="Z19" s="213"/>
    </row>
    <row r="20" spans="2:26" s="144" customFormat="1">
      <c r="B20" s="145">
        <v>9</v>
      </c>
      <c r="C20" s="146" t="str">
        <f t="shared" si="0"/>
        <v>Technische Werke Naumburg GmbH</v>
      </c>
      <c r="D20" s="63" t="s">
        <v>248</v>
      </c>
      <c r="E20" s="166" t="s">
        <v>666</v>
      </c>
      <c r="F20" s="308" t="str">
        <f>VLOOKUP($E20,'BDEW-Standard'!$B$3:$M$94,F$9,0)</f>
        <v>MK4</v>
      </c>
      <c r="H20" s="279">
        <f>ROUND(VLOOKUP($E20,'BDEW-Standard'!$B$3:$M$94,H$9,0),7)</f>
        <v>3.1177248</v>
      </c>
      <c r="I20" s="279">
        <f>ROUND(VLOOKUP($E20,'BDEW-Standard'!$B$3:$M$94,I$9,0),7)</f>
        <v>-35.871506199999999</v>
      </c>
      <c r="J20" s="279">
        <f>ROUND(VLOOKUP($E20,'BDEW-Standard'!$B$3:$M$94,J$9,0),7)</f>
        <v>7.5186828999999999</v>
      </c>
      <c r="K20" s="279">
        <f>ROUND(VLOOKUP($E20,'BDEW-Standard'!$B$3:$M$94,K$9,0),7)</f>
        <v>3.4330100000000002E-2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0.9622064996731321</v>
      </c>
      <c r="R20" s="282">
        <f>ROUND(VLOOKUP(MID($E20,4,3),'Wochentag F(WT)'!$B$7:$J$22,R$9,0),4)</f>
        <v>1.0699000000000001</v>
      </c>
      <c r="S20" s="282">
        <f>ROUND(VLOOKUP(MID($E20,4,3),'Wochentag F(WT)'!$B$7:$J$22,S$9,0),4)</f>
        <v>1.0365</v>
      </c>
      <c r="T20" s="282">
        <f>ROUND(VLOOKUP(MID($E20,4,3),'Wochentag F(WT)'!$B$7:$J$22,T$9,0),4)</f>
        <v>0.99329999999999996</v>
      </c>
      <c r="U20" s="282">
        <f>ROUND(VLOOKUP(MID($E20,4,3),'Wochentag F(WT)'!$B$7:$J$22,U$9,0),4)</f>
        <v>0.99480000000000002</v>
      </c>
      <c r="V20" s="282">
        <f>ROUND(VLOOKUP(MID($E20,4,3),'Wochentag F(WT)'!$B$7:$J$22,V$9,0),4)</f>
        <v>1.0659000000000001</v>
      </c>
      <c r="W20" s="282">
        <f>ROUND(VLOOKUP(MID($E20,4,3),'Wochentag F(WT)'!$B$7:$J$22,W$9,0),4)</f>
        <v>0.93620000000000003</v>
      </c>
      <c r="X20" s="283">
        <f t="shared" si="2"/>
        <v>0.90339999999999954</v>
      </c>
      <c r="Y20" s="304"/>
      <c r="Z20" s="213"/>
    </row>
    <row r="21" spans="2:26" s="144" customFormat="1">
      <c r="B21" s="145">
        <v>10</v>
      </c>
      <c r="C21" s="146" t="str">
        <f t="shared" si="0"/>
        <v>Technische Werke Naumburg GmbH</v>
      </c>
      <c r="D21" s="63" t="s">
        <v>248</v>
      </c>
      <c r="E21" s="166" t="s">
        <v>667</v>
      </c>
      <c r="F21" s="308" t="str">
        <f>VLOOKUP($E21,'BDEW-Standard'!$B$3:$M$94,F$9,0)</f>
        <v>KO4</v>
      </c>
      <c r="H21" s="279">
        <f>ROUND(VLOOKUP($E21,'BDEW-Standard'!$B$3:$M$94,H$9,0),7)</f>
        <v>3.4428942999999999</v>
      </c>
      <c r="I21" s="279">
        <f>ROUND(VLOOKUP($E21,'BDEW-Standard'!$B$3:$M$94,I$9,0),7)</f>
        <v>-36.659050399999998</v>
      </c>
      <c r="J21" s="279">
        <f>ROUND(VLOOKUP($E21,'BDEW-Standard'!$B$3:$M$94,J$9,0),7)</f>
        <v>7.6083226000000002</v>
      </c>
      <c r="K21" s="279">
        <f>ROUND(VLOOKUP($E21,'BDEW-Standard'!$B$3:$M$94,K$9,0),7)</f>
        <v>7.4685000000000001E-2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0.97768382110526542</v>
      </c>
      <c r="R21" s="282">
        <f>ROUND(VLOOKUP(MID($E21,4,3),'Wochentag F(WT)'!$B$7:$J$22,R$9,0),4)</f>
        <v>1.0354000000000001</v>
      </c>
      <c r="S21" s="282">
        <f>ROUND(VLOOKUP(MID($E21,4,3),'Wochentag F(WT)'!$B$7:$J$22,S$9,0),4)</f>
        <v>1.0523</v>
      </c>
      <c r="T21" s="282">
        <f>ROUND(VLOOKUP(MID($E21,4,3),'Wochentag F(WT)'!$B$7:$J$22,T$9,0),4)</f>
        <v>1.0448999999999999</v>
      </c>
      <c r="U21" s="282">
        <f>ROUND(VLOOKUP(MID($E21,4,3),'Wochentag F(WT)'!$B$7:$J$22,U$9,0),4)</f>
        <v>1.0494000000000001</v>
      </c>
      <c r="V21" s="282">
        <f>ROUND(VLOOKUP(MID($E21,4,3),'Wochentag F(WT)'!$B$7:$J$22,V$9,0),4)</f>
        <v>0.98850000000000005</v>
      </c>
      <c r="W21" s="282">
        <f>ROUND(VLOOKUP(MID($E21,4,3),'Wochentag F(WT)'!$B$7:$J$22,W$9,0),4)</f>
        <v>0.88600000000000001</v>
      </c>
      <c r="X21" s="283">
        <f t="shared" si="2"/>
        <v>0.94349999999999934</v>
      </c>
      <c r="Y21" s="304"/>
      <c r="Z21" s="213"/>
    </row>
    <row r="22" spans="2:26" s="144" customFormat="1">
      <c r="B22" s="145">
        <v>11</v>
      </c>
      <c r="C22" s="146" t="str">
        <f t="shared" si="0"/>
        <v>Technische Werke Naumburg GmbH</v>
      </c>
      <c r="D22" s="63" t="s">
        <v>248</v>
      </c>
      <c r="E22" s="166" t="s">
        <v>58</v>
      </c>
      <c r="F22" s="308" t="str">
        <f>VLOOKUP($E22,'BDEW-Standard'!$B$3:$M$158,F$9,0)</f>
        <v>C14</v>
      </c>
      <c r="H22" s="279">
        <f>ROUND(VLOOKUP($E22,'BDEW-Standard'!$B$3:$M$158,H$9,0),7)</f>
        <v>3.159294</v>
      </c>
      <c r="I22" s="279">
        <f>ROUND(VLOOKUP($E22,'BDEW-Standard'!$B$3:$M$158,I$9,0),7)</f>
        <v>-37.406886</v>
      </c>
      <c r="J22" s="279">
        <f>ROUND(VLOOKUP($E22,'BDEW-Standard'!$B$3:$M$158,J$9,0),7)</f>
        <v>6.1418926000000003</v>
      </c>
      <c r="K22" s="279">
        <f>ROUND(VLOOKUP($E22,'BDEW-Standard'!$B$3:$M$158,K$9,0),7)</f>
        <v>9.4704399999999994E-2</v>
      </c>
      <c r="L22" s="280">
        <f>ROUND(VLOOKUP($E22,'BDEW-Standard'!$B$3:$M$158,L$9,0),1)</f>
        <v>40</v>
      </c>
      <c r="M22" s="279">
        <f>ROUND(VLOOKUP($E22,'BDEW-Standard'!$B$3:$M$158,M$9,0),7)</f>
        <v>0</v>
      </c>
      <c r="N22" s="279">
        <f>ROUND(VLOOKUP($E22,'BDEW-Standard'!$B$3:$M$158,N$9,0),7)</f>
        <v>0</v>
      </c>
      <c r="O22" s="279">
        <f>ROUND(VLOOKUP($E22,'BDEW-Standard'!$B$3:$M$158,O$9,0),7)</f>
        <v>0</v>
      </c>
      <c r="P22" s="279">
        <f>ROUND(VLOOKUP($E22,'BDEW-Standard'!$B$3:$M$158,P$9,0),7)</f>
        <v>0</v>
      </c>
      <c r="Q22" s="281">
        <f t="shared" si="1"/>
        <v>0.97016180224521154</v>
      </c>
      <c r="R22" s="282">
        <f>ROUND(VLOOKUP(MID($E22,4,3),'Wochentag F(WT)'!$B$7:$J$22,R$9,0),4)</f>
        <v>1</v>
      </c>
      <c r="S22" s="282">
        <f>ROUND(VLOOKUP(MID($E22,4,3),'Wochentag F(WT)'!$B$7:$J$22,S$9,0),4)</f>
        <v>1</v>
      </c>
      <c r="T22" s="282">
        <f>ROUND(VLOOKUP(MID($E22,4,3),'Wochentag F(WT)'!$B$7:$J$22,T$9,0),4)</f>
        <v>1</v>
      </c>
      <c r="U22" s="282">
        <f>ROUND(VLOOKUP(MID($E22,4,3),'Wochentag F(WT)'!$B$7:$J$22,U$9,0),4)</f>
        <v>1</v>
      </c>
      <c r="V22" s="282">
        <f>ROUND(VLOOKUP(MID($E22,4,3),'Wochentag F(WT)'!$B$7:$J$22,V$9,0),4)</f>
        <v>1</v>
      </c>
      <c r="W22" s="282">
        <f>ROUND(VLOOKUP(MID($E22,4,3),'Wochentag F(WT)'!$B$7:$J$22,W$9,0),4)</f>
        <v>1</v>
      </c>
      <c r="X22" s="283">
        <f t="shared" si="2"/>
        <v>1</v>
      </c>
      <c r="Y22" s="304"/>
      <c r="Z22" s="213"/>
    </row>
    <row r="23" spans="2:26" s="144" customFormat="1">
      <c r="B23" s="145">
        <v>12</v>
      </c>
      <c r="C23" s="146" t="str">
        <f t="shared" si="0"/>
        <v>Technische Werke Naumburg GmbH</v>
      </c>
      <c r="D23" s="63" t="s">
        <v>248</v>
      </c>
      <c r="E23" s="166" t="s">
        <v>68</v>
      </c>
      <c r="F23" s="308" t="str">
        <f>VLOOKUP($E23,'BDEW-Standard'!$B$3:$M$158,F$9,0)</f>
        <v>C24</v>
      </c>
      <c r="H23" s="279">
        <f>ROUND(VLOOKUP($E23,'BDEW-Standard'!$B$3:$M$158,H$9,0),7)</f>
        <v>2.4859160999999999</v>
      </c>
      <c r="I23" s="279">
        <f>ROUND(VLOOKUP($E23,'BDEW-Standard'!$B$3:$M$158,I$9,0),7)</f>
        <v>-35.043597800000001</v>
      </c>
      <c r="J23" s="279">
        <f>ROUND(VLOOKUP($E23,'BDEW-Standard'!$B$3:$M$158,J$9,0),7)</f>
        <v>6.2818214000000001</v>
      </c>
      <c r="K23" s="279">
        <f>ROUND(VLOOKUP($E23,'BDEW-Standard'!$B$3:$M$158,K$9,0),7)</f>
        <v>0.13178339999999999</v>
      </c>
      <c r="L23" s="280">
        <f>ROUND(VLOOKUP($E23,'BDEW-Standard'!$B$3:$M$158,L$9,0),1)</f>
        <v>40</v>
      </c>
      <c r="M23" s="279">
        <f>ROUND(VLOOKUP($E23,'BDEW-Standard'!$B$3:$M$158,M$9,0),7)</f>
        <v>0</v>
      </c>
      <c r="N23" s="279">
        <f>ROUND(VLOOKUP($E23,'BDEW-Standard'!$B$3:$M$158,N$9,0),7)</f>
        <v>0</v>
      </c>
      <c r="O23" s="279">
        <f>ROUND(VLOOKUP($E23,'BDEW-Standard'!$B$3:$M$158,O$9,0),7)</f>
        <v>0</v>
      </c>
      <c r="P23" s="279">
        <f>ROUND(VLOOKUP($E23,'BDEW-Standard'!$B$3:$M$158,P$9,0),7)</f>
        <v>0</v>
      </c>
      <c r="Q23" s="281">
        <f t="shared" si="1"/>
        <v>1.0293590127680663</v>
      </c>
      <c r="R23" s="282">
        <f>ROUND(VLOOKUP(MID($E23,4,3),'Wochentag F(WT)'!$B$7:$J$22,R$9,0),4)</f>
        <v>1</v>
      </c>
      <c r="S23" s="282">
        <f>ROUND(VLOOKUP(MID($E23,4,3),'Wochentag F(WT)'!$B$7:$J$22,S$9,0),4)</f>
        <v>1</v>
      </c>
      <c r="T23" s="282">
        <f>ROUND(VLOOKUP(MID($E23,4,3),'Wochentag F(WT)'!$B$7:$J$22,T$9,0),4)</f>
        <v>1</v>
      </c>
      <c r="U23" s="282">
        <f>ROUND(VLOOKUP(MID($E23,4,3),'Wochentag F(WT)'!$B$7:$J$22,U$9,0),4)</f>
        <v>1</v>
      </c>
      <c r="V23" s="282">
        <f>ROUND(VLOOKUP(MID($E23,4,3),'Wochentag F(WT)'!$B$7:$J$22,V$9,0),4)</f>
        <v>1</v>
      </c>
      <c r="W23" s="282">
        <f>ROUND(VLOOKUP(MID($E23,4,3),'Wochentag F(WT)'!$B$7:$J$22,W$9,0),4)</f>
        <v>1</v>
      </c>
      <c r="X23" s="283">
        <f t="shared" si="2"/>
        <v>1</v>
      </c>
      <c r="Y23" s="304"/>
      <c r="Z23" s="213"/>
    </row>
    <row r="24" spans="2:26" s="144" customFormat="1">
      <c r="B24" s="145">
        <v>13</v>
      </c>
      <c r="C24" s="146" t="str">
        <f t="shared" si="0"/>
        <v>Technische Werke Naumburg GmbH</v>
      </c>
      <c r="D24" s="63"/>
      <c r="E24" s="166"/>
      <c r="F24" s="308"/>
      <c r="H24" s="279"/>
      <c r="I24" s="279"/>
      <c r="J24" s="279"/>
      <c r="K24" s="279"/>
      <c r="L24" s="280"/>
      <c r="M24" s="279"/>
      <c r="N24" s="279"/>
      <c r="O24" s="279"/>
      <c r="P24" s="279"/>
      <c r="Q24" s="281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>
        <v>14</v>
      </c>
      <c r="C25" s="146" t="str">
        <f t="shared" si="0"/>
        <v>Technische Werke Naumburg GmbH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Technische Werke Naumburg GmbH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Technische Werke Naumburg GmbH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Technische Werke Naumburg GmbH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Technische Werke Naumburg GmbH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Technische Werke Naumburg GmbH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Technische Werke Naumburg GmbH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Technische Werke Naumburg GmbH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Technische Werke Naumburg GmbH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Technische Werke Naumburg GmbH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Technische Werke Naumburg GmbH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Technische Werke Naumburg GmbH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Technische Werke Naumburg GmbH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Technische Werke Naumburg GmbH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Technische Werke Naumburg GmbH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Technische Werke Naumburg GmbH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Technische Werke Naumburg GmbH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33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545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Technische Werke Naumburg GmbH</v>
      </c>
      <c r="D4" s="77"/>
      <c r="G4" s="77"/>
      <c r="I4" s="77"/>
      <c r="J4" s="78"/>
      <c r="M4" s="87" t="s">
        <v>539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Technische Werke Naumburg GmbH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9 8 7 0 1 0 5 2 0 0 0 0 8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44896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0" t="s">
        <v>583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395</v>
      </c>
      <c r="G10" s="358"/>
      <c r="H10" s="358"/>
      <c r="I10" s="358"/>
      <c r="J10" s="358"/>
      <c r="K10" s="358"/>
      <c r="L10" s="359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651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649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0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650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0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545</v>
      </c>
    </row>
    <row r="2" spans="1:16">
      <c r="A2" s="238"/>
      <c r="B2" s="237" t="s">
        <v>453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454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Otto, Michael</cp:lastModifiedBy>
  <cp:lastPrinted>2015-03-20T22:59:10Z</cp:lastPrinted>
  <dcterms:created xsi:type="dcterms:W3CDTF">2015-01-15T05:25:41Z</dcterms:created>
  <dcterms:modified xsi:type="dcterms:W3CDTF">2022-11-30T08:19:26Z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